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VIDESANDE\Drift\"/>
    </mc:Choice>
  </mc:AlternateContent>
  <xr:revisionPtr revIDLastSave="0" documentId="8_{47F977DF-F8BD-4246-9A63-8BA33D040075}" xr6:coauthVersionLast="36" xr6:coauthVersionMax="36" xr10:uidLastSave="{00000000-0000-0000-0000-000000000000}"/>
  <bookViews>
    <workbookView xWindow="0" yWindow="0" windowWidth="21570" windowHeight="7920" xr2:uid="{00000000-000D-0000-FFFF-FFFF00000000}"/>
  </bookViews>
  <sheets>
    <sheet name="Ark1" sheetId="1" r:id="rId1"/>
    <sheet name="Ark2" sheetId="2" r:id="rId2"/>
    <sheet name="Ark3" sheetId="3" r:id="rId3"/>
  </sheets>
  <calcPr calcId="191029"/>
</workbook>
</file>

<file path=xl/calcChain.xml><?xml version="1.0" encoding="utf-8"?>
<calcChain xmlns="http://schemas.openxmlformats.org/spreadsheetml/2006/main">
  <c r="M26" i="1" l="1"/>
  <c r="C56" i="1"/>
  <c r="J29" i="1"/>
  <c r="H27" i="1"/>
  <c r="S29" i="1" l="1"/>
  <c r="H43" i="1"/>
  <c r="B40" i="1" l="1"/>
  <c r="U16" i="1" l="1"/>
  <c r="J16" i="1"/>
  <c r="B43" i="1" l="1"/>
  <c r="B42" i="1"/>
  <c r="J45" i="1"/>
  <c r="H41" i="1"/>
  <c r="S27" i="1"/>
  <c r="H56" i="1"/>
  <c r="C11" i="1"/>
  <c r="U31" i="1"/>
  <c r="M24" i="1"/>
  <c r="D52" i="1"/>
  <c r="B52" i="1"/>
  <c r="P15" i="1"/>
  <c r="P14" i="1"/>
  <c r="P13" i="1"/>
  <c r="P12" i="1"/>
  <c r="U11" i="1"/>
  <c r="E15" i="1"/>
  <c r="J15" i="1" s="1"/>
  <c r="E14" i="1"/>
  <c r="E13" i="1"/>
  <c r="J13" i="1" s="1"/>
  <c r="E12" i="1"/>
  <c r="M28" i="1"/>
  <c r="M29" i="1"/>
  <c r="D24" i="1"/>
  <c r="B24" i="1"/>
  <c r="B38" i="1" s="1"/>
  <c r="N13" i="1"/>
  <c r="O13" i="1"/>
  <c r="Q13" i="1"/>
  <c r="N14" i="1"/>
  <c r="O14" i="1"/>
  <c r="Q14" i="1"/>
  <c r="N15" i="1"/>
  <c r="O15" i="1"/>
  <c r="Q15" i="1"/>
  <c r="M17" i="1"/>
  <c r="M18" i="1"/>
  <c r="M19" i="1"/>
  <c r="N12" i="1"/>
  <c r="O12" i="1"/>
  <c r="Q12" i="1"/>
  <c r="M12" i="1"/>
  <c r="J17" i="1"/>
  <c r="S15" i="1"/>
  <c r="S14" i="1"/>
  <c r="S13" i="1"/>
  <c r="S12" i="1"/>
  <c r="U17" i="1" s="1"/>
  <c r="U14" i="1" l="1"/>
  <c r="U13" i="1"/>
  <c r="U15" i="1"/>
  <c r="J11" i="1"/>
  <c r="C24" i="1"/>
  <c r="N24" i="1"/>
  <c r="N27" i="1" s="1"/>
  <c r="U29" i="1" s="1"/>
  <c r="C52" i="1"/>
  <c r="J14" i="1"/>
  <c r="J56" i="1"/>
  <c r="J59" i="1" s="1"/>
  <c r="J60" i="1" s="1"/>
  <c r="J61" i="1" s="1"/>
  <c r="C27" i="1" l="1"/>
  <c r="C38" i="1"/>
  <c r="C41" i="1" s="1"/>
  <c r="J18" i="1"/>
  <c r="J19" i="1" s="1"/>
  <c r="J20" i="1" s="1"/>
  <c r="U27" i="1"/>
  <c r="U32" i="1" s="1"/>
  <c r="U33" i="1" s="1"/>
  <c r="U34" i="1" s="1"/>
  <c r="U18" i="1"/>
  <c r="U19" i="1" s="1"/>
  <c r="U20" i="1" s="1"/>
  <c r="J43" i="1" l="1"/>
  <c r="J41" i="1"/>
  <c r="J27" i="1"/>
  <c r="J32" i="1" s="1"/>
  <c r="J33" i="1" s="1"/>
  <c r="J34" i="1" s="1"/>
  <c r="J46" i="1" l="1"/>
  <c r="J47" i="1" s="1"/>
  <c r="J48" i="1" s="1"/>
</calcChain>
</file>

<file path=xl/sharedStrings.xml><?xml version="1.0" encoding="utf-8"?>
<sst xmlns="http://schemas.openxmlformats.org/spreadsheetml/2006/main" count="183" uniqueCount="62">
  <si>
    <t>Sammenligningsskema for opvarmning</t>
  </si>
  <si>
    <t>[MWh]</t>
  </si>
  <si>
    <t>Areal</t>
  </si>
  <si>
    <r>
      <t>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</si>
  <si>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Effektbidrag</t>
  </si>
  <si>
    <t>0-70</t>
  </si>
  <si>
    <t>70-100</t>
  </si>
  <si>
    <t>100-150</t>
  </si>
  <si>
    <t>150-x</t>
  </si>
  <si>
    <t>Standard fjernvarmeopvarmet hus</t>
  </si>
  <si>
    <t>á</t>
  </si>
  <si>
    <t>[DKK/MWh]</t>
  </si>
  <si>
    <t>[DKK]</t>
  </si>
  <si>
    <r>
      <t>[DKK/m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</si>
  <si>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Moms 25 %</t>
  </si>
  <si>
    <t>Lavenergi fjernvarmeopvarmet hus</t>
  </si>
  <si>
    <t>I alt (ekskl. moms)</t>
  </si>
  <si>
    <t>I alt (inkl. moms)</t>
  </si>
  <si>
    <r>
      <t>Abonnementsbidrag (inkl. de første 70 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effektbidrag)</t>
    </r>
  </si>
  <si>
    <t>Standard elopvarmet hus</t>
  </si>
  <si>
    <t>Standard olieopvarmet hus</t>
  </si>
  <si>
    <t>[kWh/l]</t>
  </si>
  <si>
    <t>Brændværdi fyringsolie</t>
  </si>
  <si>
    <t>Virkningsgrad kedel</t>
  </si>
  <si>
    <t>[-]</t>
  </si>
  <si>
    <t>[l]</t>
  </si>
  <si>
    <t>[DKK/l]</t>
  </si>
  <si>
    <t>Oliefyrsservice, skorstensfejning, el til brænder og pumper m.m.</t>
  </si>
  <si>
    <t>Reparation, forrentning og afskrivninger</t>
  </si>
  <si>
    <t>Lavenergi varmepumpeopvarmet hus</t>
  </si>
  <si>
    <t>Lavenergihus</t>
  </si>
  <si>
    <t xml:space="preserve">Reduktion af el-afgift for forbrug over </t>
  </si>
  <si>
    <r>
      <t>[kWh/m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/år]</t>
    </r>
  </si>
  <si>
    <t>COP varmepumpe</t>
  </si>
  <si>
    <t>Varmeforbrug standardhus</t>
  </si>
  <si>
    <t>Varmeforbrug lavenergihus</t>
  </si>
  <si>
    <t>Elforbrug til opvarmning</t>
  </si>
  <si>
    <t>[kWh]</t>
  </si>
  <si>
    <t>[øre/kWh]</t>
  </si>
  <si>
    <t>Serviceomkostninger</t>
  </si>
  <si>
    <t>Investering varmepumpe</t>
  </si>
  <si>
    <t>Kalkulationsrente</t>
  </si>
  <si>
    <t>år</t>
  </si>
  <si>
    <t>Forrentning og afskrivninger</t>
  </si>
  <si>
    <t>opdateret</t>
  </si>
  <si>
    <t>Standardhus</t>
  </si>
  <si>
    <r>
      <t>Areal (standard 130 [m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])</t>
    </r>
  </si>
  <si>
    <t>Varmeforbrug standardhus (standard 18,1 [MWh])</t>
  </si>
  <si>
    <t>(tast i de gule felter)</t>
  </si>
  <si>
    <t>[DKK/l] (inkl. moms)</t>
  </si>
  <si>
    <t>Olieforbrug</t>
  </si>
  <si>
    <t>[øre/kWh] (inkl. moms)</t>
  </si>
  <si>
    <t>Standard varmepumpeopvarmet hus</t>
  </si>
  <si>
    <t>[m]</t>
  </si>
  <si>
    <t>[DKK/m]</t>
  </si>
  <si>
    <t>Stikledningsbidrag (hvis der ikke allerede er installeret fjernvarme)</t>
  </si>
  <si>
    <t>Afskrivningstid</t>
  </si>
  <si>
    <t>[DKK] (ekskl. Moms)</t>
  </si>
  <si>
    <r>
      <t>Energiramme (BR2020 25,0 [kWh/m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/år]) (Kan ændres)</t>
    </r>
  </si>
  <si>
    <t xml:space="preserve">Pris er fra goenergi på elpris.dk (2022.01.06) ekskl. afgift </t>
  </si>
  <si>
    <t>4.000 kWh 88,80 [øre/kWh] ekskl. moms</t>
  </si>
  <si>
    <t>Pris fra fyringsolie-online.dk Super Olie (2022.01.06)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</si>
</sst>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.0_ ;_ * \-#,##0.0_ ;_ * &quot;-&quot;??_ ;_ @_ "/>
    <numFmt numFmtId="166" formatCode="_ * #,##0_ ;_ * \-#,##0_ ;_ * &quot;-&quot;??_ ;_ @_ "/>
    <numFmt numFmtId="167" formatCode="_ * #,##0_ ;_ * \-#,##0_ ;_ * &quot;-&quot;?_ ;_ @_ "/>
    <numFmt numFmtId="168" formatCode="0.0%"/>
    <numFmt numFmtId="169" formatCode="yyyy\.mm\.dd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/>
      <right style="thin">
        <color indexed="64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  <border>
      <left style="thin">
        <color indexed="64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0" tint="-4.9989318521683403E-2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theme="0" tint="-4.9989318521683403E-2"/>
      </bottom>
      <diagonal/>
    </border>
    <border>
      <left/>
      <right/>
      <top style="thin">
        <color theme="1"/>
      </top>
      <bottom style="thin">
        <color theme="0" tint="-4.9989318521683403E-2"/>
      </bottom>
      <diagonal/>
    </border>
    <border>
      <left/>
      <right style="thin">
        <color indexed="64"/>
      </right>
      <top style="thin">
        <color theme="1"/>
      </top>
      <bottom style="thin">
        <color theme="0" tint="-4.9989318521683403E-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2" xfId="0" applyBorder="1" applyProtection="1"/>
    <xf numFmtId="0" fontId="0" fillId="0" borderId="0" xfId="0" applyBorder="1" applyProtection="1"/>
    <xf numFmtId="0" fontId="0" fillId="0" borderId="3" xfId="0" applyBorder="1" applyProtection="1"/>
    <xf numFmtId="166" fontId="0" fillId="0" borderId="0" xfId="0" applyNumberFormat="1" applyBorder="1" applyProtection="1"/>
    <xf numFmtId="166" fontId="0" fillId="0" borderId="1" xfId="0" applyNumberFormat="1" applyBorder="1" applyProtection="1"/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167" fontId="0" fillId="0" borderId="0" xfId="0" applyNumberFormat="1" applyBorder="1" applyProtection="1"/>
    <xf numFmtId="166" fontId="3" fillId="0" borderId="6" xfId="0" applyNumberFormat="1" applyFont="1" applyBorder="1" applyProtection="1"/>
    <xf numFmtId="166" fontId="0" fillId="0" borderId="0" xfId="1" applyNumberFormat="1" applyFont="1" applyBorder="1" applyProtection="1"/>
    <xf numFmtId="165" fontId="0" fillId="0" borderId="0" xfId="0" applyNumberFormat="1" applyBorder="1" applyProtection="1"/>
    <xf numFmtId="0" fontId="0" fillId="0" borderId="0" xfId="0" applyProtection="1"/>
    <xf numFmtId="166" fontId="0" fillId="2" borderId="1" xfId="1" applyNumberFormat="1" applyFont="1" applyFill="1" applyBorder="1" applyProtection="1">
      <protection locked="0"/>
    </xf>
    <xf numFmtId="0" fontId="0" fillId="0" borderId="7" xfId="0" applyBorder="1" applyAlignment="1" applyProtection="1"/>
    <xf numFmtId="166" fontId="0" fillId="2" borderId="7" xfId="1" applyNumberFormat="1" applyFont="1" applyFill="1" applyBorder="1" applyProtection="1">
      <protection locked="0"/>
    </xf>
    <xf numFmtId="0" fontId="0" fillId="0" borderId="7" xfId="0" applyBorder="1" applyProtection="1"/>
    <xf numFmtId="0" fontId="0" fillId="0" borderId="11" xfId="0" applyBorder="1" applyAlignment="1" applyProtection="1"/>
    <xf numFmtId="0" fontId="0" fillId="0" borderId="12" xfId="0" applyBorder="1" applyProtection="1"/>
    <xf numFmtId="168" fontId="0" fillId="2" borderId="7" xfId="2" applyNumberFormat="1" applyFont="1" applyFill="1" applyBorder="1" applyProtection="1">
      <protection locked="0"/>
    </xf>
    <xf numFmtId="0" fontId="0" fillId="0" borderId="15" xfId="0" applyBorder="1" applyProtection="1"/>
    <xf numFmtId="165" fontId="0" fillId="0" borderId="13" xfId="1" applyNumberFormat="1" applyFont="1" applyBorder="1" applyProtection="1"/>
    <xf numFmtId="165" fontId="0" fillId="0" borderId="13" xfId="0" applyNumberFormat="1" applyBorder="1" applyProtection="1"/>
    <xf numFmtId="0" fontId="0" fillId="0" borderId="13" xfId="0" applyBorder="1" applyProtection="1"/>
    <xf numFmtId="166" fontId="0" fillId="0" borderId="13" xfId="1" applyNumberFormat="1" applyFont="1" applyBorder="1" applyProtection="1"/>
    <xf numFmtId="0" fontId="0" fillId="0" borderId="14" xfId="0" applyBorder="1" applyProtection="1"/>
    <xf numFmtId="0" fontId="0" fillId="0" borderId="16" xfId="0" applyBorder="1" applyProtection="1"/>
    <xf numFmtId="0" fontId="0" fillId="0" borderId="17" xfId="0" applyBorder="1" applyProtection="1"/>
    <xf numFmtId="165" fontId="0" fillId="0" borderId="17" xfId="0" applyNumberFormat="1" applyBorder="1" applyProtection="1"/>
    <xf numFmtId="166" fontId="0" fillId="0" borderId="17" xfId="1" applyNumberFormat="1" applyFont="1" applyBorder="1" applyProtection="1"/>
    <xf numFmtId="0" fontId="0" fillId="0" borderId="18" xfId="0" applyBorder="1" applyProtection="1"/>
    <xf numFmtId="0" fontId="0" fillId="2" borderId="17" xfId="0" applyFill="1" applyBorder="1" applyProtection="1">
      <protection locked="0"/>
    </xf>
    <xf numFmtId="0" fontId="0" fillId="0" borderId="17" xfId="0" applyFill="1" applyBorder="1" applyProtection="1"/>
    <xf numFmtId="0" fontId="0" fillId="0" borderId="11" xfId="0" applyBorder="1" applyProtection="1"/>
    <xf numFmtId="0" fontId="0" fillId="0" borderId="15" xfId="0" applyBorder="1" applyAlignment="1" applyProtection="1">
      <alignment horizontal="left"/>
    </xf>
    <xf numFmtId="164" fontId="0" fillId="0" borderId="17" xfId="1" applyFont="1" applyBorder="1" applyProtection="1"/>
    <xf numFmtId="0" fontId="0" fillId="0" borderId="16" xfId="0" applyBorder="1" applyAlignment="1" applyProtection="1">
      <alignment horizontal="left"/>
    </xf>
    <xf numFmtId="166" fontId="0" fillId="0" borderId="17" xfId="0" applyNumberFormat="1" applyBorder="1" applyProtection="1"/>
    <xf numFmtId="0" fontId="0" fillId="0" borderId="11" xfId="0" applyBorder="1" applyAlignment="1" applyProtection="1">
      <alignment horizontal="left"/>
    </xf>
    <xf numFmtId="167" fontId="0" fillId="0" borderId="7" xfId="0" applyNumberFormat="1" applyBorder="1" applyProtection="1"/>
    <xf numFmtId="165" fontId="0" fillId="0" borderId="7" xfId="0" applyNumberFormat="1" applyBorder="1" applyProtection="1"/>
    <xf numFmtId="164" fontId="0" fillId="0" borderId="7" xfId="1" applyFont="1" applyBorder="1" applyProtection="1"/>
    <xf numFmtId="166" fontId="0" fillId="0" borderId="7" xfId="1" applyNumberFormat="1" applyFont="1" applyBorder="1" applyProtection="1"/>
    <xf numFmtId="166" fontId="0" fillId="0" borderId="16" xfId="1" applyNumberFormat="1" applyFont="1" applyBorder="1" applyProtection="1"/>
    <xf numFmtId="0" fontId="0" fillId="0" borderId="19" xfId="0" applyBorder="1" applyProtection="1"/>
    <xf numFmtId="0" fontId="0" fillId="0" borderId="20" xfId="0" applyBorder="1" applyProtection="1"/>
    <xf numFmtId="165" fontId="0" fillId="2" borderId="17" xfId="0" applyNumberFormat="1" applyFill="1" applyBorder="1" applyProtection="1">
      <protection locked="0"/>
    </xf>
    <xf numFmtId="164" fontId="0" fillId="2" borderId="17" xfId="1" applyFont="1" applyFill="1" applyBorder="1" applyProtection="1">
      <protection locked="0"/>
    </xf>
    <xf numFmtId="167" fontId="0" fillId="0" borderId="17" xfId="0" applyNumberFormat="1" applyBorder="1" applyProtection="1"/>
    <xf numFmtId="166" fontId="0" fillId="2" borderId="17" xfId="1" applyNumberFormat="1" applyFont="1" applyFill="1" applyBorder="1" applyProtection="1">
      <protection locked="0"/>
    </xf>
    <xf numFmtId="0" fontId="0" fillId="0" borderId="21" xfId="0" applyBorder="1" applyProtection="1"/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166" fontId="3" fillId="0" borderId="24" xfId="0" applyNumberFormat="1" applyFont="1" applyBorder="1" applyProtection="1"/>
    <xf numFmtId="0" fontId="0" fillId="0" borderId="25" xfId="0" applyBorder="1" applyProtection="1"/>
    <xf numFmtId="0" fontId="0" fillId="0" borderId="29" xfId="0" applyBorder="1" applyProtection="1"/>
    <xf numFmtId="0" fontId="0" fillId="0" borderId="30" xfId="0" applyBorder="1" applyProtection="1"/>
    <xf numFmtId="0" fontId="0" fillId="0" borderId="31" xfId="0" applyBorder="1" applyProtection="1"/>
    <xf numFmtId="165" fontId="0" fillId="0" borderId="32" xfId="0" applyNumberFormat="1" applyBorder="1" applyProtection="1"/>
    <xf numFmtId="0" fontId="0" fillId="0" borderId="32" xfId="0" applyBorder="1" applyProtection="1"/>
    <xf numFmtId="166" fontId="0" fillId="0" borderId="32" xfId="1" applyNumberFormat="1" applyFont="1" applyBorder="1" applyProtection="1"/>
    <xf numFmtId="0" fontId="0" fillId="0" borderId="33" xfId="0" applyBorder="1" applyProtection="1"/>
    <xf numFmtId="166" fontId="0" fillId="0" borderId="17" xfId="1" applyNumberFormat="1" applyFont="1" applyBorder="1" applyAlignment="1" applyProtection="1"/>
    <xf numFmtId="164" fontId="0" fillId="0" borderId="17" xfId="0" applyNumberFormat="1" applyBorder="1" applyProtection="1"/>
    <xf numFmtId="166" fontId="0" fillId="0" borderId="17" xfId="1" applyNumberFormat="1" applyFont="1" applyFill="1" applyBorder="1" applyProtection="1"/>
    <xf numFmtId="0" fontId="0" fillId="0" borderId="16" xfId="0" applyFill="1" applyBorder="1" applyProtection="1"/>
    <xf numFmtId="166" fontId="0" fillId="2" borderId="21" xfId="1" applyNumberFormat="1" applyFont="1" applyFill="1" applyBorder="1" applyProtection="1">
      <protection locked="0"/>
    </xf>
    <xf numFmtId="165" fontId="0" fillId="2" borderId="7" xfId="1" applyNumberFormat="1" applyFont="1" applyFill="1" applyBorder="1" applyProtection="1">
      <protection locked="0"/>
    </xf>
    <xf numFmtId="166" fontId="0" fillId="0" borderId="17" xfId="1" applyNumberFormat="1" applyFont="1" applyBorder="1" applyProtection="1"/>
    <xf numFmtId="165" fontId="0" fillId="0" borderId="17" xfId="0" applyNumberFormat="1" applyBorder="1" applyProtection="1"/>
    <xf numFmtId="0" fontId="4" fillId="0" borderId="0" xfId="0" applyFont="1" applyAlignment="1" applyProtection="1">
      <alignment horizontal="center" vertical="top" wrapText="1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169" fontId="0" fillId="0" borderId="13" xfId="0" applyNumberFormat="1" applyBorder="1" applyAlignment="1" applyProtection="1">
      <alignment horizontal="center"/>
    </xf>
    <xf numFmtId="169" fontId="0" fillId="0" borderId="14" xfId="0" applyNumberFormat="1" applyBorder="1" applyAlignment="1" applyProtection="1">
      <alignment horizontal="center"/>
    </xf>
    <xf numFmtId="0" fontId="0" fillId="0" borderId="0" xfId="0" applyAlignment="1" applyProtection="1">
      <alignment horizontal="center" vertical="top" wrapText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2"/>
  <sheetViews>
    <sheetView showGridLines="0" tabSelected="1" topLeftCell="A40" workbookViewId="0">
      <selection activeCell="M13" sqref="M13"/>
    </sheetView>
  </sheetViews>
  <sheetFormatPr defaultRowHeight="15" x14ac:dyDescent="0.25"/>
  <cols>
    <col min="1" max="1" width="2" style="13" customWidth="1"/>
    <col min="2" max="2" width="59.85546875" style="13" bestFit="1" customWidth="1"/>
    <col min="3" max="3" width="9" style="13" bestFit="1" customWidth="1"/>
    <col min="4" max="4" width="8" style="13" bestFit="1" customWidth="1"/>
    <col min="5" max="5" width="4.5703125" style="13" bestFit="1" customWidth="1"/>
    <col min="6" max="6" width="4.85546875" style="13" bestFit="1" customWidth="1"/>
    <col min="7" max="7" width="2" style="13" bestFit="1" customWidth="1"/>
    <col min="8" max="8" width="7.42578125" style="13" bestFit="1" customWidth="1"/>
    <col min="9" max="9" width="11.5703125" style="13" bestFit="1" customWidth="1"/>
    <col min="10" max="10" width="8.140625" style="13" bestFit="1" customWidth="1"/>
    <col min="11" max="11" width="6" style="13" bestFit="1" customWidth="1"/>
    <col min="12" max="12" width="3.5703125" style="13" customWidth="1"/>
    <col min="13" max="13" width="57.7109375" style="13" bestFit="1" customWidth="1"/>
    <col min="14" max="14" width="8.42578125" style="13" bestFit="1" customWidth="1"/>
    <col min="15" max="15" width="8" style="13" bestFit="1" customWidth="1"/>
    <col min="16" max="16" width="3" style="13" bestFit="1" customWidth="1"/>
    <col min="17" max="17" width="5.140625" style="13" bestFit="1" customWidth="1"/>
    <col min="18" max="18" width="2" style="13" bestFit="1" customWidth="1"/>
    <col min="19" max="19" width="7.42578125" style="13" bestFit="1" customWidth="1"/>
    <col min="20" max="20" width="11.5703125" style="13" bestFit="1" customWidth="1"/>
    <col min="21" max="21" width="7.42578125" style="13" bestFit="1" customWidth="1"/>
    <col min="22" max="22" width="6" style="13" bestFit="1" customWidth="1"/>
    <col min="23" max="16384" width="9.140625" style="13"/>
  </cols>
  <sheetData>
    <row r="1" spans="2:22" ht="23.25" x14ac:dyDescent="0.2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2:22" x14ac:dyDescent="0.25">
      <c r="B2" s="81" t="s">
        <v>48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2:22" x14ac:dyDescent="0.25">
      <c r="B3" s="73" t="s">
        <v>45</v>
      </c>
      <c r="C3" s="74"/>
      <c r="D3" s="74"/>
      <c r="E3" s="74"/>
      <c r="F3" s="74"/>
      <c r="G3" s="74"/>
      <c r="H3" s="74"/>
      <c r="I3" s="74"/>
      <c r="J3" s="74"/>
      <c r="K3" s="75"/>
      <c r="M3" s="73" t="s">
        <v>30</v>
      </c>
      <c r="N3" s="74"/>
      <c r="O3" s="74"/>
      <c r="P3" s="74"/>
      <c r="Q3" s="74"/>
      <c r="R3" s="74"/>
      <c r="S3" s="74"/>
      <c r="T3" s="74"/>
      <c r="U3" s="74"/>
      <c r="V3" s="75"/>
    </row>
    <row r="4" spans="2:22" ht="17.25" x14ac:dyDescent="0.25">
      <c r="B4" s="18" t="s">
        <v>46</v>
      </c>
      <c r="C4" s="16">
        <v>130</v>
      </c>
      <c r="D4" s="17" t="s">
        <v>3</v>
      </c>
      <c r="E4" s="15"/>
      <c r="F4" s="15"/>
      <c r="G4" s="15"/>
      <c r="H4" s="15"/>
      <c r="I4" s="17"/>
      <c r="J4" s="17"/>
      <c r="K4" s="19"/>
      <c r="M4" s="18" t="s">
        <v>2</v>
      </c>
      <c r="N4" s="16">
        <v>130</v>
      </c>
      <c r="O4" s="17" t="s">
        <v>3</v>
      </c>
      <c r="P4" s="15"/>
      <c r="Q4" s="15"/>
      <c r="R4" s="15"/>
      <c r="S4" s="15"/>
      <c r="T4" s="17" t="s">
        <v>44</v>
      </c>
      <c r="U4" s="79">
        <v>44567</v>
      </c>
      <c r="V4" s="80"/>
    </row>
    <row r="5" spans="2:22" ht="17.25" x14ac:dyDescent="0.25">
      <c r="B5" s="18" t="s">
        <v>47</v>
      </c>
      <c r="C5" s="69">
        <v>18.100000000000001</v>
      </c>
      <c r="D5" s="17" t="s">
        <v>1</v>
      </c>
      <c r="E5" s="15"/>
      <c r="F5" s="15"/>
      <c r="G5" s="15"/>
      <c r="H5" s="15"/>
      <c r="I5" s="17"/>
      <c r="J5" s="17"/>
      <c r="K5" s="19"/>
      <c r="M5" s="18" t="s">
        <v>58</v>
      </c>
      <c r="N5" s="69">
        <v>25</v>
      </c>
      <c r="O5" s="17" t="s">
        <v>32</v>
      </c>
      <c r="P5" s="15"/>
      <c r="Q5" s="15"/>
      <c r="R5" s="15"/>
      <c r="S5" s="15"/>
      <c r="T5" s="17"/>
      <c r="U5" s="17"/>
      <c r="V5" s="19"/>
    </row>
    <row r="6" spans="2:22" x14ac:dyDescent="0.25">
      <c r="B6" s="18" t="s">
        <v>40</v>
      </c>
      <c r="C6" s="16">
        <v>100000</v>
      </c>
      <c r="D6" s="17" t="s">
        <v>57</v>
      </c>
      <c r="E6" s="15"/>
      <c r="F6" s="15"/>
      <c r="G6" s="15"/>
      <c r="H6" s="15"/>
      <c r="I6" s="17"/>
      <c r="J6" s="17"/>
      <c r="K6" s="19"/>
      <c r="M6" s="18" t="s">
        <v>40</v>
      </c>
      <c r="N6" s="16">
        <v>100000</v>
      </c>
      <c r="O6" s="17" t="s">
        <v>57</v>
      </c>
      <c r="P6" s="15"/>
      <c r="Q6" s="15"/>
      <c r="R6" s="15"/>
      <c r="S6" s="15"/>
      <c r="T6" s="17"/>
      <c r="U6" s="17"/>
      <c r="V6" s="19"/>
    </row>
    <row r="7" spans="2:22" x14ac:dyDescent="0.25">
      <c r="B7" s="18" t="s">
        <v>41</v>
      </c>
      <c r="C7" s="20">
        <v>2.5000000000000001E-2</v>
      </c>
      <c r="D7" s="17"/>
      <c r="E7" s="15"/>
      <c r="F7" s="15"/>
      <c r="G7" s="15"/>
      <c r="H7" s="15"/>
      <c r="I7" s="17"/>
      <c r="J7" s="17"/>
      <c r="K7" s="19"/>
      <c r="M7" s="18" t="s">
        <v>41</v>
      </c>
      <c r="N7" s="20">
        <v>2.5000000000000001E-2</v>
      </c>
      <c r="O7" s="17"/>
      <c r="P7" s="15"/>
      <c r="Q7" s="15"/>
      <c r="R7" s="15"/>
      <c r="S7" s="15"/>
      <c r="T7" s="17"/>
      <c r="U7" s="17"/>
      <c r="V7" s="19"/>
    </row>
    <row r="8" spans="2:22" x14ac:dyDescent="0.25">
      <c r="B8" s="6" t="s">
        <v>56</v>
      </c>
      <c r="C8" s="14">
        <v>25</v>
      </c>
      <c r="D8" s="7" t="s">
        <v>42</v>
      </c>
      <c r="E8" s="7"/>
      <c r="F8" s="7"/>
      <c r="G8" s="7"/>
      <c r="H8" s="7"/>
      <c r="I8" s="7"/>
      <c r="J8" s="7"/>
      <c r="K8" s="8"/>
      <c r="M8" s="6" t="s">
        <v>56</v>
      </c>
      <c r="N8" s="14">
        <v>20</v>
      </c>
      <c r="O8" s="7" t="s">
        <v>42</v>
      </c>
      <c r="P8" s="7"/>
      <c r="Q8" s="7"/>
      <c r="R8" s="7"/>
      <c r="S8" s="7"/>
      <c r="T8" s="7"/>
      <c r="U8" s="7"/>
      <c r="V8" s="8"/>
    </row>
    <row r="10" spans="2:22" x14ac:dyDescent="0.25">
      <c r="B10" s="73" t="s">
        <v>9</v>
      </c>
      <c r="C10" s="74"/>
      <c r="D10" s="74"/>
      <c r="E10" s="74"/>
      <c r="F10" s="74"/>
      <c r="G10" s="74"/>
      <c r="H10" s="74"/>
      <c r="I10" s="74"/>
      <c r="J10" s="74"/>
      <c r="K10" s="75"/>
      <c r="M10" s="76" t="s">
        <v>15</v>
      </c>
      <c r="N10" s="77"/>
      <c r="O10" s="77"/>
      <c r="P10" s="77"/>
      <c r="Q10" s="77"/>
      <c r="R10" s="77"/>
      <c r="S10" s="77"/>
      <c r="T10" s="77"/>
      <c r="U10" s="77"/>
      <c r="V10" s="78"/>
    </row>
    <row r="11" spans="2:22" x14ac:dyDescent="0.25">
      <c r="B11" s="21" t="s">
        <v>34</v>
      </c>
      <c r="C11" s="22">
        <f>C5</f>
        <v>18.100000000000001</v>
      </c>
      <c r="D11" s="23" t="s">
        <v>1</v>
      </c>
      <c r="E11" s="24"/>
      <c r="F11" s="24"/>
      <c r="G11" s="24" t="s">
        <v>10</v>
      </c>
      <c r="H11" s="25">
        <v>220</v>
      </c>
      <c r="I11" s="24" t="s">
        <v>11</v>
      </c>
      <c r="J11" s="25">
        <f>H11*C11</f>
        <v>3982.0000000000005</v>
      </c>
      <c r="K11" s="26" t="s">
        <v>12</v>
      </c>
      <c r="M11" s="59" t="s">
        <v>35</v>
      </c>
      <c r="N11" s="60">
        <v>9</v>
      </c>
      <c r="O11" s="60" t="s">
        <v>1</v>
      </c>
      <c r="P11" s="61"/>
      <c r="Q11" s="61"/>
      <c r="R11" s="61" t="s">
        <v>10</v>
      </c>
      <c r="S11" s="62">
        <v>220</v>
      </c>
      <c r="T11" s="61" t="s">
        <v>11</v>
      </c>
      <c r="U11" s="62">
        <f>S11*N11</f>
        <v>1980</v>
      </c>
      <c r="V11" s="63" t="s">
        <v>12</v>
      </c>
    </row>
    <row r="12" spans="2:22" ht="17.25" x14ac:dyDescent="0.25">
      <c r="B12" s="27" t="s">
        <v>4</v>
      </c>
      <c r="C12" s="28" t="s">
        <v>5</v>
      </c>
      <c r="D12" s="29" t="s">
        <v>3</v>
      </c>
      <c r="E12" s="28">
        <f>IF(C4&lt;70,70,70)</f>
        <v>70</v>
      </c>
      <c r="F12" s="28" t="s">
        <v>3</v>
      </c>
      <c r="G12" s="28" t="s">
        <v>10</v>
      </c>
      <c r="H12" s="30">
        <v>26</v>
      </c>
      <c r="I12" s="28" t="s">
        <v>13</v>
      </c>
      <c r="J12" s="30">
        <v>0</v>
      </c>
      <c r="K12" s="31" t="s">
        <v>12</v>
      </c>
      <c r="M12" s="27" t="str">
        <f>B12</f>
        <v>Effektbidrag</v>
      </c>
      <c r="N12" s="28" t="str">
        <f>C12</f>
        <v>0-70</v>
      </c>
      <c r="O12" s="29" t="str">
        <f>D12</f>
        <v>[m2]</v>
      </c>
      <c r="P12" s="28">
        <f>IF(N4&lt;70,70,70)</f>
        <v>70</v>
      </c>
      <c r="Q12" s="28" t="str">
        <f>F12</f>
        <v>[m2]</v>
      </c>
      <c r="R12" s="28" t="s">
        <v>10</v>
      </c>
      <c r="S12" s="30">
        <f>26/2</f>
        <v>13</v>
      </c>
      <c r="T12" s="28" t="s">
        <v>13</v>
      </c>
      <c r="U12" s="30"/>
      <c r="V12" s="31" t="s">
        <v>12</v>
      </c>
    </row>
    <row r="13" spans="2:22" ht="17.25" x14ac:dyDescent="0.25">
      <c r="B13" s="27"/>
      <c r="C13" s="28" t="s">
        <v>6</v>
      </c>
      <c r="D13" s="29" t="s">
        <v>3</v>
      </c>
      <c r="E13" s="28">
        <f>IF(C4&lt;70,0,IF(C4&lt;100,(C4-70),(C4-70-(C4-100))))</f>
        <v>30</v>
      </c>
      <c r="F13" s="28" t="s">
        <v>3</v>
      </c>
      <c r="G13" s="28" t="s">
        <v>10</v>
      </c>
      <c r="H13" s="30">
        <v>26</v>
      </c>
      <c r="I13" s="28" t="s">
        <v>13</v>
      </c>
      <c r="J13" s="30">
        <f>H13*E13</f>
        <v>780</v>
      </c>
      <c r="K13" s="31" t="s">
        <v>12</v>
      </c>
      <c r="M13" s="27"/>
      <c r="N13" s="28" t="str">
        <f t="shared" ref="N13:O15" si="0">C13</f>
        <v>70-100</v>
      </c>
      <c r="O13" s="29" t="str">
        <f t="shared" si="0"/>
        <v>[m2]</v>
      </c>
      <c r="P13" s="28">
        <f>IF(N4&lt;70,0,IF(N4&lt;100,(N4-70),(N4-70-(N4-100))))</f>
        <v>30</v>
      </c>
      <c r="Q13" s="28" t="str">
        <f>F13</f>
        <v>[m2]</v>
      </c>
      <c r="R13" s="28" t="s">
        <v>10</v>
      </c>
      <c r="S13" s="30">
        <f>26/2</f>
        <v>13</v>
      </c>
      <c r="T13" s="28" t="s">
        <v>13</v>
      </c>
      <c r="U13" s="30">
        <f>S13*P13</f>
        <v>390</v>
      </c>
      <c r="V13" s="31" t="s">
        <v>12</v>
      </c>
    </row>
    <row r="14" spans="2:22" ht="17.25" x14ac:dyDescent="0.25">
      <c r="B14" s="27"/>
      <c r="C14" s="28" t="s">
        <v>7</v>
      </c>
      <c r="D14" s="29" t="s">
        <v>3</v>
      </c>
      <c r="E14" s="28">
        <f>IF(C4&lt;100,0,IF(C4&lt;150,(C4-100),(C4-100-(C4-150))))</f>
        <v>30</v>
      </c>
      <c r="F14" s="28" t="s">
        <v>3</v>
      </c>
      <c r="G14" s="28" t="s">
        <v>10</v>
      </c>
      <c r="H14" s="30">
        <v>22</v>
      </c>
      <c r="I14" s="28" t="s">
        <v>13</v>
      </c>
      <c r="J14" s="30">
        <f>H14*E14</f>
        <v>660</v>
      </c>
      <c r="K14" s="31" t="s">
        <v>12</v>
      </c>
      <c r="M14" s="27"/>
      <c r="N14" s="28" t="str">
        <f t="shared" si="0"/>
        <v>100-150</v>
      </c>
      <c r="O14" s="29" t="str">
        <f t="shared" si="0"/>
        <v>[m2]</v>
      </c>
      <c r="P14" s="28">
        <f>IF(N4&lt;100,0,IF(N4&lt;150,(N4-100),(N4-100-(N4-150))))</f>
        <v>30</v>
      </c>
      <c r="Q14" s="28" t="str">
        <f>F14</f>
        <v>[m2]</v>
      </c>
      <c r="R14" s="28" t="s">
        <v>10</v>
      </c>
      <c r="S14" s="30">
        <f>22/2</f>
        <v>11</v>
      </c>
      <c r="T14" s="28" t="s">
        <v>13</v>
      </c>
      <c r="U14" s="30">
        <f>S14*P14</f>
        <v>330</v>
      </c>
      <c r="V14" s="31" t="s">
        <v>12</v>
      </c>
    </row>
    <row r="15" spans="2:22" ht="17.25" x14ac:dyDescent="0.25">
      <c r="B15" s="27"/>
      <c r="C15" s="28" t="s">
        <v>8</v>
      </c>
      <c r="D15" s="29" t="s">
        <v>3</v>
      </c>
      <c r="E15" s="28">
        <f>IF(C4&lt;150,0,C4-150)</f>
        <v>0</v>
      </c>
      <c r="F15" s="28" t="s">
        <v>3</v>
      </c>
      <c r="G15" s="28" t="s">
        <v>10</v>
      </c>
      <c r="H15" s="30">
        <v>10</v>
      </c>
      <c r="I15" s="28" t="s">
        <v>13</v>
      </c>
      <c r="J15" s="30">
        <f>H15*E15</f>
        <v>0</v>
      </c>
      <c r="K15" s="31" t="s">
        <v>12</v>
      </c>
      <c r="M15" s="27"/>
      <c r="N15" s="28" t="str">
        <f t="shared" si="0"/>
        <v>150-x</v>
      </c>
      <c r="O15" s="29" t="str">
        <f t="shared" si="0"/>
        <v>[m2]</v>
      </c>
      <c r="P15" s="28">
        <f>IF(N4&lt;150,0,N4-150)</f>
        <v>0</v>
      </c>
      <c r="Q15" s="28" t="str">
        <f>F15</f>
        <v>[m2]</v>
      </c>
      <c r="R15" s="28" t="s">
        <v>10</v>
      </c>
      <c r="S15" s="30">
        <f>10/2</f>
        <v>5</v>
      </c>
      <c r="T15" s="28" t="s">
        <v>13</v>
      </c>
      <c r="U15" s="30">
        <f>S15*P15</f>
        <v>0</v>
      </c>
      <c r="V15" s="31" t="s">
        <v>12</v>
      </c>
    </row>
    <row r="16" spans="2:22" x14ac:dyDescent="0.25">
      <c r="B16" s="27" t="s">
        <v>55</v>
      </c>
      <c r="C16" s="28"/>
      <c r="D16" s="29"/>
      <c r="E16" s="32">
        <v>15</v>
      </c>
      <c r="F16" s="33" t="s">
        <v>53</v>
      </c>
      <c r="G16" s="28" t="s">
        <v>10</v>
      </c>
      <c r="H16" s="30">
        <v>550</v>
      </c>
      <c r="I16" s="33" t="s">
        <v>54</v>
      </c>
      <c r="J16" s="30">
        <f>-PMT(C7,C8,(E16*H16),0,1)</f>
        <v>436.85497427101365</v>
      </c>
      <c r="K16" s="31" t="s">
        <v>12</v>
      </c>
      <c r="M16" s="27" t="s">
        <v>55</v>
      </c>
      <c r="N16" s="28"/>
      <c r="O16" s="29"/>
      <c r="P16" s="32">
        <v>15</v>
      </c>
      <c r="Q16" s="33" t="s">
        <v>53</v>
      </c>
      <c r="R16" s="28" t="s">
        <v>10</v>
      </c>
      <c r="S16" s="30">
        <v>550</v>
      </c>
      <c r="T16" s="33" t="s">
        <v>54</v>
      </c>
      <c r="U16" s="30">
        <f>-PMT(N7,N8,(P16*S16),0,1)</f>
        <v>516.30615810674567</v>
      </c>
      <c r="V16" s="31" t="s">
        <v>12</v>
      </c>
    </row>
    <row r="17" spans="2:23" ht="17.25" x14ac:dyDescent="0.25">
      <c r="B17" s="27" t="s">
        <v>18</v>
      </c>
      <c r="C17" s="28"/>
      <c r="D17" s="28"/>
      <c r="E17" s="28"/>
      <c r="F17" s="28"/>
      <c r="G17" s="28"/>
      <c r="H17" s="28"/>
      <c r="I17" s="28"/>
      <c r="J17" s="11">
        <f>2500-(70*(H12-H12))</f>
        <v>2500</v>
      </c>
      <c r="K17" s="31" t="s">
        <v>12</v>
      </c>
      <c r="M17" s="27" t="str">
        <f>B17</f>
        <v>Abonnementsbidrag (inkl. de første 70 m2 effektbidrag)</v>
      </c>
      <c r="N17" s="28"/>
      <c r="O17" s="28"/>
      <c r="P17" s="28"/>
      <c r="Q17" s="28"/>
      <c r="R17" s="28"/>
      <c r="S17" s="28"/>
      <c r="T17" s="28"/>
      <c r="U17" s="11">
        <f>2500-(70*(H12-S12))</f>
        <v>1590</v>
      </c>
      <c r="V17" s="3" t="s">
        <v>12</v>
      </c>
    </row>
    <row r="18" spans="2:23" x14ac:dyDescent="0.25">
      <c r="B18" s="34" t="s">
        <v>16</v>
      </c>
      <c r="C18" s="17"/>
      <c r="D18" s="17"/>
      <c r="E18" s="17"/>
      <c r="F18" s="17"/>
      <c r="G18" s="17"/>
      <c r="H18" s="17"/>
      <c r="I18" s="17"/>
      <c r="J18" s="25">
        <f>SUM(J11:J17)</f>
        <v>8358.8549742710129</v>
      </c>
      <c r="K18" s="19" t="s">
        <v>12</v>
      </c>
      <c r="M18" s="34" t="str">
        <f>B18</f>
        <v>I alt (ekskl. moms)</v>
      </c>
      <c r="N18" s="17"/>
      <c r="O18" s="17"/>
      <c r="P18" s="17"/>
      <c r="Q18" s="17"/>
      <c r="R18" s="17"/>
      <c r="S18" s="17"/>
      <c r="T18" s="17"/>
      <c r="U18" s="25">
        <f>SUM(U11:U17)</f>
        <v>4806.3061581067459</v>
      </c>
      <c r="V18" s="31" t="s">
        <v>12</v>
      </c>
    </row>
    <row r="19" spans="2:23" x14ac:dyDescent="0.25">
      <c r="B19" s="27" t="s">
        <v>14</v>
      </c>
      <c r="C19" s="28"/>
      <c r="D19" s="28"/>
      <c r="E19" s="28"/>
      <c r="F19" s="28"/>
      <c r="G19" s="28"/>
      <c r="H19" s="28"/>
      <c r="I19" s="28"/>
      <c r="J19" s="5">
        <f>J18*0.25</f>
        <v>2089.7137435677532</v>
      </c>
      <c r="K19" s="3" t="s">
        <v>12</v>
      </c>
      <c r="M19" s="27" t="str">
        <f>B19</f>
        <v>Moms 25 %</v>
      </c>
      <c r="N19" s="28"/>
      <c r="O19" s="28"/>
      <c r="P19" s="28"/>
      <c r="Q19" s="28"/>
      <c r="R19" s="28"/>
      <c r="S19" s="28"/>
      <c r="T19" s="28"/>
      <c r="U19" s="5">
        <f>U18*0.25</f>
        <v>1201.5765395266865</v>
      </c>
      <c r="V19" s="31" t="s">
        <v>12</v>
      </c>
    </row>
    <row r="20" spans="2:23" ht="15.75" thickBot="1" x14ac:dyDescent="0.3">
      <c r="B20" s="46" t="s">
        <v>17</v>
      </c>
      <c r="C20" s="51"/>
      <c r="D20" s="51"/>
      <c r="E20" s="51"/>
      <c r="F20" s="51"/>
      <c r="G20" s="51"/>
      <c r="H20" s="51"/>
      <c r="I20" s="51"/>
      <c r="J20" s="10">
        <f>J19+J18</f>
        <v>10448.568717838767</v>
      </c>
      <c r="K20" s="57" t="s">
        <v>12</v>
      </c>
      <c r="M20" s="1"/>
      <c r="N20" s="2"/>
      <c r="O20" s="2"/>
      <c r="P20" s="2"/>
      <c r="Q20" s="2"/>
      <c r="R20" s="2"/>
      <c r="S20" s="2"/>
      <c r="T20" s="2"/>
      <c r="U20" s="10">
        <f>U19+U18</f>
        <v>6007.8826976334321</v>
      </c>
      <c r="V20" s="3" t="s">
        <v>12</v>
      </c>
    </row>
    <row r="21" spans="2:23" ht="3" customHeight="1" thickTop="1" x14ac:dyDescent="0.25">
      <c r="B21" s="53"/>
      <c r="C21" s="54"/>
      <c r="D21" s="54"/>
      <c r="E21" s="54"/>
      <c r="F21" s="54"/>
      <c r="G21" s="54"/>
      <c r="H21" s="54"/>
      <c r="I21" s="54"/>
      <c r="J21" s="55"/>
      <c r="K21" s="56"/>
      <c r="M21" s="53"/>
      <c r="N21" s="54"/>
      <c r="O21" s="54"/>
      <c r="P21" s="54"/>
      <c r="Q21" s="54"/>
      <c r="R21" s="54"/>
      <c r="S21" s="54"/>
      <c r="T21" s="54"/>
      <c r="U21" s="55"/>
      <c r="V21" s="54"/>
      <c r="W21" s="52"/>
    </row>
    <row r="22" spans="2:23" x14ac:dyDescent="0.25">
      <c r="B22" s="7"/>
    </row>
    <row r="23" spans="2:23" x14ac:dyDescent="0.25">
      <c r="B23" s="73" t="s">
        <v>19</v>
      </c>
      <c r="C23" s="74"/>
      <c r="D23" s="74"/>
      <c r="E23" s="74"/>
      <c r="F23" s="74"/>
      <c r="G23" s="74"/>
      <c r="H23" s="74"/>
      <c r="I23" s="74"/>
      <c r="J23" s="74"/>
      <c r="K23" s="75"/>
      <c r="M23" s="76" t="s">
        <v>29</v>
      </c>
      <c r="N23" s="77"/>
      <c r="O23" s="77"/>
      <c r="P23" s="77"/>
      <c r="Q23" s="77"/>
      <c r="R23" s="77"/>
      <c r="S23" s="77"/>
      <c r="T23" s="77"/>
      <c r="U23" s="77"/>
      <c r="V23" s="78"/>
    </row>
    <row r="24" spans="2:23" x14ac:dyDescent="0.25">
      <c r="B24" s="35" t="str">
        <f>B11</f>
        <v>Varmeforbrug standardhus</v>
      </c>
      <c r="C24" s="23">
        <f>C11</f>
        <v>18.100000000000001</v>
      </c>
      <c r="D24" s="23" t="str">
        <f>D11</f>
        <v>[MWh]</v>
      </c>
      <c r="E24" s="23"/>
      <c r="F24" s="24"/>
      <c r="G24" s="24"/>
      <c r="H24" s="24"/>
      <c r="I24" s="24"/>
      <c r="J24" s="24"/>
      <c r="K24" s="26"/>
      <c r="M24" s="59" t="str">
        <f>M11</f>
        <v>Varmeforbrug lavenergihus</v>
      </c>
      <c r="N24" s="60">
        <f>N11</f>
        <v>9</v>
      </c>
      <c r="O24" s="60" t="s">
        <v>1</v>
      </c>
      <c r="P24" s="61"/>
      <c r="Q24" s="61"/>
      <c r="R24" s="61"/>
      <c r="S24" s="62"/>
      <c r="T24" s="61"/>
      <c r="U24" s="62"/>
      <c r="V24" s="63"/>
    </row>
    <row r="25" spans="2:23" x14ac:dyDescent="0.25">
      <c r="B25" s="37"/>
      <c r="C25" s="9"/>
      <c r="D25" s="29"/>
      <c r="E25" s="28"/>
      <c r="F25" s="28"/>
      <c r="G25" s="28"/>
      <c r="H25" s="36"/>
      <c r="I25" s="28"/>
      <c r="J25" s="30"/>
      <c r="K25" s="31"/>
      <c r="M25" s="27" t="s">
        <v>33</v>
      </c>
      <c r="N25" s="47">
        <v>3.5</v>
      </c>
      <c r="O25" s="29" t="s">
        <v>24</v>
      </c>
      <c r="P25" s="28"/>
      <c r="Q25" s="28"/>
      <c r="R25" s="28"/>
      <c r="S25" s="28"/>
      <c r="T25" s="28"/>
      <c r="U25" s="38"/>
      <c r="V25" s="31"/>
    </row>
    <row r="26" spans="2:23" x14ac:dyDescent="0.25">
      <c r="B26" s="37" t="s">
        <v>59</v>
      </c>
      <c r="C26" s="48">
        <v>197.54</v>
      </c>
      <c r="D26" s="71" t="s">
        <v>51</v>
      </c>
      <c r="E26" s="71"/>
      <c r="F26" s="71"/>
      <c r="G26" s="71"/>
      <c r="H26" s="71"/>
      <c r="I26" s="28"/>
      <c r="J26" s="38"/>
      <c r="K26" s="31"/>
      <c r="M26" s="27" t="str">
        <f>B26</f>
        <v xml:space="preserve">Pris er fra goenergi på elpris.dk (2022.01.06) ekskl. afgift </v>
      </c>
      <c r="N26" s="48">
        <v>197.54</v>
      </c>
      <c r="O26" s="71" t="s">
        <v>51</v>
      </c>
      <c r="P26" s="71"/>
      <c r="Q26" s="71"/>
      <c r="R26" s="71"/>
      <c r="S26" s="71"/>
      <c r="T26" s="28"/>
      <c r="U26" s="38"/>
      <c r="V26" s="31"/>
    </row>
    <row r="27" spans="2:23" x14ac:dyDescent="0.25">
      <c r="B27" s="39" t="s">
        <v>36</v>
      </c>
      <c r="C27" s="40">
        <f>C24*1000</f>
        <v>18100</v>
      </c>
      <c r="D27" s="41" t="s">
        <v>37</v>
      </c>
      <c r="E27" s="17"/>
      <c r="F27" s="17"/>
      <c r="G27" s="17" t="s">
        <v>10</v>
      </c>
      <c r="H27" s="42">
        <f>C26/1.25</f>
        <v>158.03199999999998</v>
      </c>
      <c r="I27" s="17" t="s">
        <v>38</v>
      </c>
      <c r="J27" s="43">
        <f>H27*C27/100</f>
        <v>28603.791999999998</v>
      </c>
      <c r="K27" s="19" t="s">
        <v>12</v>
      </c>
      <c r="M27" s="27" t="s">
        <v>36</v>
      </c>
      <c r="N27" s="49">
        <f>N24/N25*1000</f>
        <v>2571.4285714285716</v>
      </c>
      <c r="O27" s="29" t="s">
        <v>37</v>
      </c>
      <c r="P27" s="28"/>
      <c r="Q27" s="28"/>
      <c r="R27" s="28" t="s">
        <v>10</v>
      </c>
      <c r="S27" s="36">
        <f>N26/1.25</f>
        <v>158.03199999999998</v>
      </c>
      <c r="T27" s="28" t="s">
        <v>38</v>
      </c>
      <c r="U27" s="30">
        <f>S27*N27/100</f>
        <v>4063.68</v>
      </c>
      <c r="V27" s="31" t="s">
        <v>12</v>
      </c>
    </row>
    <row r="28" spans="2:23" x14ac:dyDescent="0.25">
      <c r="B28" s="37" t="s">
        <v>31</v>
      </c>
      <c r="C28" s="28"/>
      <c r="D28" s="28"/>
      <c r="E28" s="28"/>
      <c r="F28" s="28"/>
      <c r="G28" s="28"/>
      <c r="H28" s="28"/>
      <c r="I28" s="28"/>
      <c r="J28" s="38"/>
      <c r="K28" s="31"/>
      <c r="M28" s="27" t="str">
        <f>B28</f>
        <v xml:space="preserve">Reduktion af el-afgift for forbrug over </v>
      </c>
      <c r="N28" s="28"/>
      <c r="O28" s="28"/>
      <c r="P28" s="28"/>
      <c r="Q28" s="28"/>
      <c r="R28" s="28"/>
      <c r="S28" s="30"/>
      <c r="T28" s="28"/>
      <c r="U28" s="30"/>
      <c r="V28" s="31" t="s">
        <v>12</v>
      </c>
    </row>
    <row r="29" spans="2:23" x14ac:dyDescent="0.25">
      <c r="B29" s="37" t="s">
        <v>60</v>
      </c>
      <c r="C29" s="28"/>
      <c r="D29" s="28"/>
      <c r="E29" s="28"/>
      <c r="F29" s="28"/>
      <c r="G29" s="28" t="s">
        <v>10</v>
      </c>
      <c r="H29" s="36">
        <v>-88.8</v>
      </c>
      <c r="I29" s="28" t="s">
        <v>38</v>
      </c>
      <c r="J29" s="30">
        <f>H29*C27/100</f>
        <v>-16072.8</v>
      </c>
      <c r="K29" s="31" t="s">
        <v>12</v>
      </c>
      <c r="M29" s="27" t="str">
        <f>B29</f>
        <v>4.000 kWh 88,80 [øre/kWh] ekskl. moms</v>
      </c>
      <c r="N29" s="28"/>
      <c r="O29" s="28"/>
      <c r="P29" s="28"/>
      <c r="Q29" s="28"/>
      <c r="R29" s="28" t="s">
        <v>10</v>
      </c>
      <c r="S29" s="36">
        <f>H29</f>
        <v>-88.8</v>
      </c>
      <c r="T29" s="28" t="s">
        <v>38</v>
      </c>
      <c r="U29" s="30">
        <f>S29*N27/100</f>
        <v>-2283.4285714285716</v>
      </c>
      <c r="V29" s="31" t="s">
        <v>12</v>
      </c>
    </row>
    <row r="30" spans="2:23" x14ac:dyDescent="0.25">
      <c r="B30" s="44"/>
      <c r="C30" s="28"/>
      <c r="D30" s="28"/>
      <c r="E30" s="28"/>
      <c r="F30" s="28"/>
      <c r="G30" s="28"/>
      <c r="H30" s="28"/>
      <c r="I30" s="28"/>
      <c r="J30" s="38"/>
      <c r="K30" s="31"/>
      <c r="M30" s="27" t="s">
        <v>39</v>
      </c>
      <c r="N30" s="28"/>
      <c r="O30" s="28"/>
      <c r="P30" s="28"/>
      <c r="Q30" s="28"/>
      <c r="R30" s="28"/>
      <c r="S30" s="30"/>
      <c r="T30" s="28"/>
      <c r="U30" s="50">
        <v>2500</v>
      </c>
      <c r="V30" s="31" t="s">
        <v>12</v>
      </c>
    </row>
    <row r="31" spans="2:23" x14ac:dyDescent="0.25">
      <c r="B31" s="27"/>
      <c r="C31" s="28"/>
      <c r="D31" s="28"/>
      <c r="E31" s="28"/>
      <c r="F31" s="28"/>
      <c r="G31" s="28"/>
      <c r="H31" s="28"/>
      <c r="I31" s="28"/>
      <c r="J31" s="11"/>
      <c r="K31" s="3"/>
      <c r="M31" s="27" t="s">
        <v>43</v>
      </c>
      <c r="N31" s="28"/>
      <c r="O31" s="28"/>
      <c r="P31" s="28"/>
      <c r="Q31" s="28"/>
      <c r="R31" s="28"/>
      <c r="S31" s="30"/>
      <c r="T31" s="28"/>
      <c r="U31" s="11">
        <f>-PMT(N7,N8,N6,0,1)</f>
        <v>6258.2564618999468</v>
      </c>
      <c r="V31" s="3" t="s">
        <v>12</v>
      </c>
    </row>
    <row r="32" spans="2:23" x14ac:dyDescent="0.25">
      <c r="B32" s="34" t="s">
        <v>16</v>
      </c>
      <c r="C32" s="17"/>
      <c r="D32" s="17"/>
      <c r="E32" s="17"/>
      <c r="F32" s="17"/>
      <c r="G32" s="17"/>
      <c r="H32" s="17"/>
      <c r="I32" s="17"/>
      <c r="J32" s="25">
        <f>SUM(J25:J31)</f>
        <v>12530.991999999998</v>
      </c>
      <c r="K32" s="31" t="s">
        <v>12</v>
      </c>
      <c r="M32" s="34" t="s">
        <v>16</v>
      </c>
      <c r="N32" s="17"/>
      <c r="O32" s="17"/>
      <c r="P32" s="17"/>
      <c r="Q32" s="17"/>
      <c r="R32" s="17"/>
      <c r="S32" s="17"/>
      <c r="T32" s="17"/>
      <c r="U32" s="25">
        <f>SUM(U24:U31)</f>
        <v>10538.507890471374</v>
      </c>
      <c r="V32" s="31" t="s">
        <v>12</v>
      </c>
    </row>
    <row r="33" spans="2:23" x14ac:dyDescent="0.25">
      <c r="B33" s="27" t="s">
        <v>14</v>
      </c>
      <c r="C33" s="28"/>
      <c r="D33" s="28"/>
      <c r="E33" s="28"/>
      <c r="F33" s="28"/>
      <c r="G33" s="28"/>
      <c r="H33" s="28"/>
      <c r="I33" s="28"/>
      <c r="J33" s="5">
        <f>J32*0.25</f>
        <v>3132.7479999999996</v>
      </c>
      <c r="K33" s="3" t="s">
        <v>12</v>
      </c>
      <c r="M33" s="27" t="s">
        <v>14</v>
      </c>
      <c r="N33" s="28"/>
      <c r="O33" s="28"/>
      <c r="P33" s="28"/>
      <c r="Q33" s="28"/>
      <c r="R33" s="28"/>
      <c r="S33" s="28"/>
      <c r="T33" s="28"/>
      <c r="U33" s="5">
        <f>U32*0.25</f>
        <v>2634.6269726178434</v>
      </c>
      <c r="V33" s="3" t="s">
        <v>12</v>
      </c>
    </row>
    <row r="34" spans="2:23" ht="15.75" thickBot="1" x14ac:dyDescent="0.3">
      <c r="B34" s="46" t="s">
        <v>17</v>
      </c>
      <c r="C34" s="51"/>
      <c r="D34" s="51"/>
      <c r="E34" s="51"/>
      <c r="F34" s="51"/>
      <c r="G34" s="51"/>
      <c r="H34" s="51"/>
      <c r="I34" s="51"/>
      <c r="J34" s="10">
        <f>J33+J32</f>
        <v>15663.739999999998</v>
      </c>
      <c r="K34" s="45" t="s">
        <v>12</v>
      </c>
      <c r="M34" s="46" t="s">
        <v>17</v>
      </c>
      <c r="N34" s="2"/>
      <c r="O34" s="2"/>
      <c r="P34" s="2"/>
      <c r="Q34" s="2"/>
      <c r="R34" s="2"/>
      <c r="S34" s="2"/>
      <c r="T34" s="2"/>
      <c r="U34" s="10">
        <f>U33+U32</f>
        <v>13173.134863089217</v>
      </c>
      <c r="V34" s="45" t="s">
        <v>12</v>
      </c>
    </row>
    <row r="35" spans="2:23" ht="3" customHeight="1" thickTop="1" x14ac:dyDescent="0.25">
      <c r="B35" s="53"/>
      <c r="C35" s="54"/>
      <c r="D35" s="54"/>
      <c r="E35" s="54"/>
      <c r="F35" s="54"/>
      <c r="G35" s="54"/>
      <c r="H35" s="54"/>
      <c r="I35" s="54"/>
      <c r="J35" s="55"/>
      <c r="K35" s="56"/>
      <c r="L35" s="52"/>
      <c r="M35" s="53"/>
      <c r="N35" s="54"/>
      <c r="O35" s="54"/>
      <c r="P35" s="54"/>
      <c r="Q35" s="54"/>
      <c r="R35" s="54"/>
      <c r="S35" s="54"/>
      <c r="T35" s="54"/>
      <c r="U35" s="55"/>
      <c r="V35" s="56"/>
      <c r="W35" s="52"/>
    </row>
    <row r="37" spans="2:23" x14ac:dyDescent="0.25">
      <c r="B37" s="73" t="s">
        <v>52</v>
      </c>
      <c r="C37" s="74"/>
      <c r="D37" s="74"/>
      <c r="E37" s="74"/>
      <c r="F37" s="74"/>
      <c r="G37" s="74"/>
      <c r="H37" s="74"/>
      <c r="I37" s="74"/>
      <c r="J37" s="74"/>
      <c r="K37" s="75"/>
    </row>
    <row r="38" spans="2:23" x14ac:dyDescent="0.25">
      <c r="B38" s="21" t="str">
        <f>B24</f>
        <v>Varmeforbrug standardhus</v>
      </c>
      <c r="C38" s="23">
        <f>C24</f>
        <v>18.100000000000001</v>
      </c>
      <c r="D38" s="23" t="s">
        <v>1</v>
      </c>
      <c r="E38" s="24"/>
      <c r="F38" s="24"/>
      <c r="G38" s="24"/>
      <c r="H38" s="25"/>
      <c r="I38" s="24"/>
      <c r="J38" s="25"/>
      <c r="K38" s="26"/>
    </row>
    <row r="39" spans="2:23" x14ac:dyDescent="0.25">
      <c r="B39" s="1" t="s">
        <v>33</v>
      </c>
      <c r="C39" s="47">
        <v>3.5</v>
      </c>
      <c r="D39" s="12" t="s">
        <v>24</v>
      </c>
      <c r="E39" s="2"/>
      <c r="F39" s="2"/>
      <c r="G39" s="2"/>
      <c r="H39" s="2"/>
      <c r="I39" s="28"/>
      <c r="J39" s="4"/>
      <c r="K39" s="31"/>
    </row>
    <row r="40" spans="2:23" x14ac:dyDescent="0.25">
      <c r="B40" s="27" t="str">
        <f>B26</f>
        <v xml:space="preserve">Pris er fra goenergi på elpris.dk (2022.01.06) ekskl. afgift </v>
      </c>
      <c r="C40" s="48">
        <v>197.54</v>
      </c>
      <c r="D40" s="71" t="s">
        <v>51</v>
      </c>
      <c r="E40" s="71"/>
      <c r="F40" s="71"/>
      <c r="G40" s="71"/>
      <c r="H40" s="71"/>
      <c r="I40" s="28"/>
      <c r="J40" s="38"/>
      <c r="K40" s="31"/>
    </row>
    <row r="41" spans="2:23" x14ac:dyDescent="0.25">
      <c r="B41" s="27" t="s">
        <v>36</v>
      </c>
      <c r="C41" s="49">
        <f>C38/C39*1000</f>
        <v>5171.4285714285716</v>
      </c>
      <c r="D41" s="29" t="s">
        <v>37</v>
      </c>
      <c r="E41" s="28"/>
      <c r="F41" s="28"/>
      <c r="G41" s="28" t="s">
        <v>10</v>
      </c>
      <c r="H41" s="36">
        <f>C40/1.25</f>
        <v>158.03199999999998</v>
      </c>
      <c r="I41" s="28" t="s">
        <v>38</v>
      </c>
      <c r="J41" s="30">
        <f>H41*C41/100</f>
        <v>8172.5119999999997</v>
      </c>
      <c r="K41" s="31" t="s">
        <v>12</v>
      </c>
    </row>
    <row r="42" spans="2:23" x14ac:dyDescent="0.25">
      <c r="B42" s="27" t="str">
        <f>B28</f>
        <v xml:space="preserve">Reduktion af el-afgift for forbrug over </v>
      </c>
      <c r="C42" s="28"/>
      <c r="D42" s="28"/>
      <c r="E42" s="28"/>
      <c r="F42" s="28"/>
      <c r="G42" s="28"/>
      <c r="H42" s="30"/>
      <c r="I42" s="28"/>
      <c r="J42" s="30"/>
      <c r="K42" s="31" t="s">
        <v>12</v>
      </c>
    </row>
    <row r="43" spans="2:23" x14ac:dyDescent="0.25">
      <c r="B43" s="27" t="str">
        <f>B29</f>
        <v>4.000 kWh 88,80 [øre/kWh] ekskl. moms</v>
      </c>
      <c r="C43" s="28"/>
      <c r="D43" s="28"/>
      <c r="E43" s="28"/>
      <c r="F43" s="28"/>
      <c r="G43" s="28" t="s">
        <v>10</v>
      </c>
      <c r="H43" s="36">
        <f>H29</f>
        <v>-88.8</v>
      </c>
      <c r="I43" s="28" t="s">
        <v>38</v>
      </c>
      <c r="J43" s="30">
        <f>H43*C41/100</f>
        <v>-4592.2285714285717</v>
      </c>
      <c r="K43" s="31" t="s">
        <v>12</v>
      </c>
    </row>
    <row r="44" spans="2:23" x14ac:dyDescent="0.25">
      <c r="B44" s="27" t="s">
        <v>39</v>
      </c>
      <c r="C44" s="28"/>
      <c r="D44" s="28"/>
      <c r="E44" s="28"/>
      <c r="F44" s="28"/>
      <c r="G44" s="28"/>
      <c r="H44" s="30"/>
      <c r="I44" s="28"/>
      <c r="J44" s="50">
        <v>2500</v>
      </c>
      <c r="K44" s="31" t="s">
        <v>12</v>
      </c>
    </row>
    <row r="45" spans="2:23" x14ac:dyDescent="0.25">
      <c r="B45" s="27" t="s">
        <v>43</v>
      </c>
      <c r="C45" s="28"/>
      <c r="D45" s="28"/>
      <c r="E45" s="28"/>
      <c r="F45" s="28"/>
      <c r="G45" s="28"/>
      <c r="H45" s="30"/>
      <c r="I45" s="28"/>
      <c r="J45" s="11">
        <f>-PMT(C7,C8,C6,0,1)</f>
        <v>5295.2118093456202</v>
      </c>
      <c r="K45" s="3" t="s">
        <v>12</v>
      </c>
    </row>
    <row r="46" spans="2:23" x14ac:dyDescent="0.25">
      <c r="B46" s="34" t="s">
        <v>16</v>
      </c>
      <c r="C46" s="17"/>
      <c r="D46" s="17"/>
      <c r="E46" s="17"/>
      <c r="F46" s="17"/>
      <c r="G46" s="17"/>
      <c r="H46" s="17"/>
      <c r="I46" s="17"/>
      <c r="J46" s="25">
        <f>SUM(J38:J45)</f>
        <v>11375.495237917048</v>
      </c>
      <c r="K46" s="31" t="s">
        <v>12</v>
      </c>
    </row>
    <row r="47" spans="2:23" x14ac:dyDescent="0.25">
      <c r="B47" s="27" t="s">
        <v>14</v>
      </c>
      <c r="C47" s="28"/>
      <c r="D47" s="28"/>
      <c r="E47" s="28"/>
      <c r="F47" s="28"/>
      <c r="G47" s="28"/>
      <c r="H47" s="28"/>
      <c r="I47" s="28"/>
      <c r="J47" s="5">
        <f>J46*0.25</f>
        <v>2843.873809479262</v>
      </c>
      <c r="K47" s="3" t="s">
        <v>12</v>
      </c>
    </row>
    <row r="48" spans="2:23" ht="15.75" thickBot="1" x14ac:dyDescent="0.3">
      <c r="B48" s="46" t="s">
        <v>17</v>
      </c>
      <c r="C48" s="51"/>
      <c r="D48" s="51"/>
      <c r="E48" s="51"/>
      <c r="F48" s="51"/>
      <c r="G48" s="51"/>
      <c r="H48" s="51"/>
      <c r="I48" s="51"/>
      <c r="J48" s="10">
        <f>J47+J46</f>
        <v>14219.369047396311</v>
      </c>
      <c r="K48" s="57" t="s">
        <v>12</v>
      </c>
    </row>
    <row r="49" spans="1:12" ht="2.25" customHeight="1" thickTop="1" x14ac:dyDescent="0.25">
      <c r="B49" s="53"/>
      <c r="C49" s="54"/>
      <c r="D49" s="54"/>
      <c r="E49" s="54"/>
      <c r="F49" s="54"/>
      <c r="G49" s="54"/>
      <c r="H49" s="54"/>
      <c r="I49" s="54"/>
      <c r="J49" s="55"/>
      <c r="K49" s="56"/>
    </row>
    <row r="51" spans="1:12" ht="17.25" customHeight="1" x14ac:dyDescent="0.25">
      <c r="B51" s="73" t="s">
        <v>20</v>
      </c>
      <c r="C51" s="74"/>
      <c r="D51" s="74"/>
      <c r="E51" s="74"/>
      <c r="F51" s="74"/>
      <c r="G51" s="74"/>
      <c r="H51" s="74"/>
      <c r="I51" s="74"/>
      <c r="J51" s="74"/>
      <c r="K51" s="75"/>
    </row>
    <row r="52" spans="1:12" ht="17.25" customHeight="1" x14ac:dyDescent="0.25">
      <c r="B52" s="21" t="str">
        <f>B11</f>
        <v>Varmeforbrug standardhus</v>
      </c>
      <c r="C52" s="23">
        <f>C11</f>
        <v>18.100000000000001</v>
      </c>
      <c r="D52" s="23" t="str">
        <f>D11</f>
        <v>[MWh]</v>
      </c>
      <c r="E52" s="24"/>
      <c r="F52" s="24"/>
      <c r="G52" s="24"/>
      <c r="H52" s="24"/>
      <c r="I52" s="24"/>
      <c r="J52" s="24"/>
      <c r="K52" s="26"/>
    </row>
    <row r="53" spans="1:12" ht="17.25" customHeight="1" x14ac:dyDescent="0.25">
      <c r="B53" s="27" t="s">
        <v>22</v>
      </c>
      <c r="C53" s="48">
        <v>10</v>
      </c>
      <c r="D53" s="64" t="s">
        <v>21</v>
      </c>
      <c r="E53" s="64"/>
      <c r="F53" s="64"/>
      <c r="G53" s="64"/>
      <c r="H53" s="28"/>
      <c r="I53" s="28"/>
      <c r="J53" s="36"/>
      <c r="K53" s="31"/>
    </row>
    <row r="54" spans="1:12" ht="17.25" customHeight="1" x14ac:dyDescent="0.25">
      <c r="B54" s="27" t="s">
        <v>23</v>
      </c>
      <c r="C54" s="48">
        <v>0.9</v>
      </c>
      <c r="D54" s="30" t="s">
        <v>24</v>
      </c>
      <c r="E54" s="28"/>
      <c r="F54" s="28"/>
      <c r="G54" s="28"/>
      <c r="H54" s="28"/>
      <c r="I54" s="28"/>
      <c r="J54" s="28"/>
      <c r="K54" s="31"/>
    </row>
    <row r="55" spans="1:12" ht="17.25" customHeight="1" x14ac:dyDescent="0.25">
      <c r="B55" s="27" t="s">
        <v>61</v>
      </c>
      <c r="C55" s="48">
        <v>12.5</v>
      </c>
      <c r="D55" s="70" t="s">
        <v>49</v>
      </c>
      <c r="E55" s="70"/>
      <c r="F55" s="70"/>
      <c r="G55" s="70"/>
      <c r="H55" s="28"/>
      <c r="I55" s="28"/>
      <c r="J55" s="28"/>
      <c r="K55" s="31"/>
    </row>
    <row r="56" spans="1:12" ht="17.25" customHeight="1" x14ac:dyDescent="0.25">
      <c r="B56" s="27" t="s">
        <v>50</v>
      </c>
      <c r="C56" s="65">
        <f>(C52/C53)/C54*1000</f>
        <v>2011.1111111111111</v>
      </c>
      <c r="D56" s="30" t="s">
        <v>25</v>
      </c>
      <c r="E56" s="28"/>
      <c r="F56" s="28"/>
      <c r="G56" s="28" t="s">
        <v>10</v>
      </c>
      <c r="H56" s="36">
        <f>C55*0.8</f>
        <v>10</v>
      </c>
      <c r="I56" s="66" t="s">
        <v>26</v>
      </c>
      <c r="J56" s="30">
        <f>H56*C56</f>
        <v>20111.111111111109</v>
      </c>
      <c r="K56" s="31" t="s">
        <v>12</v>
      </c>
    </row>
    <row r="57" spans="1:12" ht="17.25" customHeight="1" x14ac:dyDescent="0.25">
      <c r="B57" s="67" t="s">
        <v>27</v>
      </c>
      <c r="C57" s="28"/>
      <c r="D57" s="28"/>
      <c r="E57" s="28"/>
      <c r="F57" s="28"/>
      <c r="G57" s="28"/>
      <c r="H57" s="28"/>
      <c r="I57" s="28"/>
      <c r="J57" s="50">
        <v>2000</v>
      </c>
      <c r="K57" s="31" t="s">
        <v>12</v>
      </c>
    </row>
    <row r="58" spans="1:12" ht="17.25" customHeight="1" x14ac:dyDescent="0.25">
      <c r="B58" s="67" t="s">
        <v>28</v>
      </c>
      <c r="C58" s="28"/>
      <c r="D58" s="28"/>
      <c r="E58" s="28"/>
      <c r="F58" s="28"/>
      <c r="G58" s="28"/>
      <c r="H58" s="30"/>
      <c r="I58" s="28"/>
      <c r="J58" s="68">
        <v>2000</v>
      </c>
      <c r="K58" s="31" t="s">
        <v>12</v>
      </c>
    </row>
    <row r="59" spans="1:12" ht="17.25" customHeight="1" x14ac:dyDescent="0.25">
      <c r="B59" s="34" t="s">
        <v>16</v>
      </c>
      <c r="C59" s="28"/>
      <c r="D59" s="28"/>
      <c r="E59" s="28"/>
      <c r="F59" s="28"/>
      <c r="G59" s="28"/>
      <c r="H59" s="28"/>
      <c r="I59" s="28"/>
      <c r="J59" s="25">
        <f>SUM(J53:J58)</f>
        <v>24111.111111111109</v>
      </c>
      <c r="K59" s="31" t="s">
        <v>12</v>
      </c>
    </row>
    <row r="60" spans="1:12" ht="17.25" customHeight="1" x14ac:dyDescent="0.25">
      <c r="B60" s="27" t="s">
        <v>14</v>
      </c>
      <c r="C60" s="28"/>
      <c r="D60" s="28"/>
      <c r="E60" s="28"/>
      <c r="F60" s="28"/>
      <c r="G60" s="28"/>
      <c r="H60" s="28"/>
      <c r="I60" s="28"/>
      <c r="J60" s="5">
        <f>J59*0.25</f>
        <v>6027.7777777777774</v>
      </c>
      <c r="K60" s="3" t="s">
        <v>12</v>
      </c>
    </row>
    <row r="61" spans="1:12" ht="17.25" customHeight="1" thickBot="1" x14ac:dyDescent="0.3">
      <c r="B61" s="46" t="s">
        <v>17</v>
      </c>
      <c r="C61" s="2"/>
      <c r="D61" s="2"/>
      <c r="E61" s="2"/>
      <c r="F61" s="2"/>
      <c r="G61" s="2"/>
      <c r="H61" s="2"/>
      <c r="I61" s="2"/>
      <c r="J61" s="10">
        <f>J60+J59</f>
        <v>30138.888888888887</v>
      </c>
      <c r="K61" s="57" t="s">
        <v>12</v>
      </c>
      <c r="L61" s="52"/>
    </row>
    <row r="62" spans="1:12" ht="3" customHeight="1" thickTop="1" x14ac:dyDescent="0.25">
      <c r="A62" s="58"/>
      <c r="B62" s="54"/>
      <c r="C62" s="54"/>
      <c r="D62" s="54"/>
      <c r="E62" s="54"/>
      <c r="F62" s="54"/>
      <c r="G62" s="54"/>
      <c r="H62" s="54"/>
      <c r="I62" s="54"/>
      <c r="J62" s="54"/>
      <c r="K62" s="56"/>
      <c r="L62" s="52"/>
    </row>
  </sheetData>
  <mergeCells count="15">
    <mergeCell ref="D55:G55"/>
    <mergeCell ref="O26:S26"/>
    <mergeCell ref="D26:H26"/>
    <mergeCell ref="B1:V1"/>
    <mergeCell ref="B10:K10"/>
    <mergeCell ref="B23:K23"/>
    <mergeCell ref="B51:K51"/>
    <mergeCell ref="M10:V10"/>
    <mergeCell ref="M23:V23"/>
    <mergeCell ref="B3:K3"/>
    <mergeCell ref="M3:V3"/>
    <mergeCell ref="U4:V4"/>
    <mergeCell ref="B2:V2"/>
    <mergeCell ref="B37:K37"/>
    <mergeCell ref="D40:H40"/>
  </mergeCells>
  <pageMargins left="0.70866141732283472" right="0.70866141732283472" top="0.74803149606299213" bottom="0.74803149606299213" header="0.31496062992125984" footer="0.31496062992125984"/>
  <pageSetup paperSize="8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mhk</dc:creator>
  <cp:lastModifiedBy>Morten Rauhe - Hvide Sande Fjernvarme</cp:lastModifiedBy>
  <cp:lastPrinted>2022-01-06T09:29:14Z</cp:lastPrinted>
  <dcterms:created xsi:type="dcterms:W3CDTF">2015-08-11T12:02:36Z</dcterms:created>
  <dcterms:modified xsi:type="dcterms:W3CDTF">2022-01-06T09:30:29Z</dcterms:modified>
</cp:coreProperties>
</file>